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ilmanreichel/Desktop/"/>
    </mc:Choice>
  </mc:AlternateContent>
  <xr:revisionPtr revIDLastSave="0" documentId="13_ncr:1_{00A4A377-C0B6-B34B-A15D-D6E437DD9B95}" xr6:coauthVersionLast="47" xr6:coauthVersionMax="47" xr10:uidLastSave="{00000000-0000-0000-0000-000000000000}"/>
  <bookViews>
    <workbookView xWindow="960" yWindow="1500" windowWidth="32880" windowHeight="23500" xr2:uid="{4D030D5F-AF46-EF49-94E6-2E427342BAB6}"/>
  </bookViews>
  <sheets>
    <sheet name="Optimistisch" sheetId="1" r:id="rId1"/>
    <sheet name="Pessimistisch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6" l="1"/>
  <c r="H15" i="1"/>
  <c r="H12" i="1"/>
  <c r="J12" i="1"/>
  <c r="I12" i="1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D8" i="1"/>
  <c r="E8" i="1" s="1"/>
  <c r="F8" i="1" s="1"/>
  <c r="G8" i="1" s="1"/>
  <c r="D42" i="1"/>
  <c r="H8" i="1" l="1"/>
  <c r="I8" i="1" s="1"/>
  <c r="J8" i="1" s="1"/>
  <c r="K8" i="1" s="1"/>
  <c r="G45" i="1"/>
  <c r="C8" i="6"/>
  <c r="B6" i="6"/>
  <c r="D35" i="6"/>
  <c r="D33" i="6"/>
  <c r="G45" i="6" s="1"/>
  <c r="I45" i="6" s="1"/>
  <c r="D42" i="6"/>
  <c r="D40" i="6" s="1"/>
  <c r="C27" i="6"/>
  <c r="H14" i="6" s="1"/>
  <c r="C25" i="6"/>
  <c r="D21" i="6"/>
  <c r="D20" i="6"/>
  <c r="D19" i="6"/>
  <c r="J13" i="6"/>
  <c r="I13" i="6"/>
  <c r="H13" i="6"/>
  <c r="G13" i="6"/>
  <c r="F13" i="6"/>
  <c r="E13" i="6"/>
  <c r="D13" i="6"/>
  <c r="C13" i="6"/>
  <c r="J12" i="6"/>
  <c r="I12" i="6"/>
  <c r="H12" i="6"/>
  <c r="G12" i="6"/>
  <c r="F12" i="6"/>
  <c r="E12" i="6"/>
  <c r="D12" i="6"/>
  <c r="C12" i="6"/>
  <c r="J9" i="6"/>
  <c r="K9" i="6" s="1"/>
  <c r="L9" i="6" s="1"/>
  <c r="I9" i="6"/>
  <c r="H9" i="6"/>
  <c r="G9" i="6"/>
  <c r="F9" i="6"/>
  <c r="E9" i="6"/>
  <c r="D9" i="6"/>
  <c r="C9" i="6"/>
  <c r="B4" i="6"/>
  <c r="D23" i="1"/>
  <c r="G11" i="6" l="1"/>
  <c r="E11" i="6"/>
  <c r="L8" i="1"/>
  <c r="M8" i="1" s="1"/>
  <c r="N8" i="1" s="1"/>
  <c r="O8" i="1" s="1"/>
  <c r="E45" i="6"/>
  <c r="E45" i="1"/>
  <c r="F45" i="1"/>
  <c r="I45" i="1"/>
  <c r="H45" i="1"/>
  <c r="H45" i="6"/>
  <c r="D44" i="6"/>
  <c r="D41" i="6"/>
  <c r="D43" i="6"/>
  <c r="F45" i="6"/>
  <c r="H11" i="6"/>
  <c r="C26" i="6"/>
  <c r="C11" i="6"/>
  <c r="D27" i="6"/>
  <c r="J10" i="6"/>
  <c r="F10" i="6"/>
  <c r="G10" i="6"/>
  <c r="I11" i="6"/>
  <c r="J11" i="6"/>
  <c r="F11" i="6"/>
  <c r="I10" i="6"/>
  <c r="D23" i="6"/>
  <c r="I16" i="6" s="1"/>
  <c r="D10" i="6"/>
  <c r="H10" i="6"/>
  <c r="H15" i="6"/>
  <c r="D22" i="6"/>
  <c r="K12" i="6"/>
  <c r="K13" i="6" s="1"/>
  <c r="D11" i="6"/>
  <c r="E10" i="6"/>
  <c r="M9" i="6"/>
  <c r="L12" i="6"/>
  <c r="L13" i="6" s="1"/>
  <c r="I14" i="6"/>
  <c r="D22" i="1"/>
  <c r="P8" i="1" l="1"/>
  <c r="Q8" i="1" s="1"/>
  <c r="Q6" i="1" s="1"/>
  <c r="K16" i="6"/>
  <c r="H16" i="6"/>
  <c r="J16" i="6"/>
  <c r="J14" i="6"/>
  <c r="I15" i="6"/>
  <c r="L16" i="6"/>
  <c r="N9" i="6"/>
  <c r="M12" i="6"/>
  <c r="M13" i="6" s="1"/>
  <c r="C26" i="1"/>
  <c r="H16" i="1"/>
  <c r="H14" i="1"/>
  <c r="I14" i="1" s="1"/>
  <c r="J14" i="1" s="1"/>
  <c r="K14" i="1" s="1"/>
  <c r="L14" i="1" s="1"/>
  <c r="M14" i="1" s="1"/>
  <c r="N14" i="1" s="1"/>
  <c r="O14" i="1" s="1"/>
  <c r="P14" i="1" s="1"/>
  <c r="Q14" i="1" s="1"/>
  <c r="Q7" i="1" l="1"/>
  <c r="Q6" i="6"/>
  <c r="N12" i="6"/>
  <c r="N13" i="6" s="1"/>
  <c r="O9" i="6"/>
  <c r="M16" i="6"/>
  <c r="J15" i="6"/>
  <c r="K14" i="6"/>
  <c r="I15" i="1"/>
  <c r="Q7" i="6" l="1"/>
  <c r="L14" i="6"/>
  <c r="K15" i="6"/>
  <c r="O12" i="6"/>
  <c r="O13" i="6" s="1"/>
  <c r="P9" i="6"/>
  <c r="N16" i="6"/>
  <c r="Q9" i="6" l="1"/>
  <c r="Q12" i="6" s="1"/>
  <c r="Q13" i="6" s="1"/>
  <c r="P12" i="6"/>
  <c r="P13" i="6" s="1"/>
  <c r="O16" i="6"/>
  <c r="M14" i="6"/>
  <c r="L15" i="6"/>
  <c r="N14" i="6" l="1"/>
  <c r="M15" i="6"/>
  <c r="P16" i="6"/>
  <c r="Q16" i="6"/>
  <c r="D26" i="6" l="1"/>
  <c r="D28" i="6" s="1"/>
  <c r="D29" i="6" s="1"/>
  <c r="O14" i="6"/>
  <c r="N15" i="6"/>
  <c r="P14" i="6" l="1"/>
  <c r="O15" i="6"/>
  <c r="Q14" i="6" l="1"/>
  <c r="Q15" i="6" s="1"/>
  <c r="P15" i="6"/>
  <c r="H41" i="6" l="1"/>
  <c r="G41" i="6"/>
  <c r="G44" i="6"/>
  <c r="I43" i="6"/>
  <c r="I42" i="6"/>
  <c r="F40" i="6"/>
  <c r="E42" i="6"/>
  <c r="H43" i="6"/>
  <c r="G42" i="6"/>
  <c r="I44" i="6"/>
  <c r="H44" i="6"/>
  <c r="E44" i="6"/>
  <c r="F44" i="6"/>
  <c r="F42" i="6"/>
  <c r="F41" i="6"/>
  <c r="G40" i="6"/>
  <c r="G43" i="6"/>
  <c r="H42" i="6"/>
  <c r="E41" i="6"/>
  <c r="I41" i="6"/>
  <c r="H40" i="6"/>
  <c r="E40" i="6"/>
  <c r="F43" i="6"/>
  <c r="E43" i="6"/>
  <c r="I40" i="6"/>
  <c r="D27" i="1"/>
  <c r="K9" i="1"/>
  <c r="D11" i="1"/>
  <c r="E11" i="1"/>
  <c r="F11" i="1"/>
  <c r="G11" i="1"/>
  <c r="H11" i="1"/>
  <c r="I11" i="1"/>
  <c r="J11" i="1"/>
  <c r="C11" i="1"/>
  <c r="H10" i="1"/>
  <c r="I10" i="1"/>
  <c r="J10" i="1"/>
  <c r="E10" i="1"/>
  <c r="F10" i="1"/>
  <c r="G10" i="1"/>
  <c r="D10" i="1"/>
  <c r="K12" i="1" l="1"/>
  <c r="K13" i="1" s="1"/>
  <c r="K16" i="1" s="1"/>
  <c r="I16" i="1"/>
  <c r="J16" i="1"/>
  <c r="L9" i="1"/>
  <c r="J15" i="1" l="1"/>
  <c r="M9" i="1"/>
  <c r="L12" i="1"/>
  <c r="L13" i="1" s="1"/>
  <c r="K15" i="1" l="1"/>
  <c r="L16" i="1"/>
  <c r="N9" i="1"/>
  <c r="M12" i="1"/>
  <c r="M13" i="1" s="1"/>
  <c r="L15" i="1" l="1"/>
  <c r="M15" i="1"/>
  <c r="M16" i="1"/>
  <c r="O9" i="1"/>
  <c r="N12" i="1"/>
  <c r="N13" i="1" s="1"/>
  <c r="N15" i="1" s="1"/>
  <c r="N16" i="1" l="1"/>
  <c r="P9" i="1"/>
  <c r="O12" i="1"/>
  <c r="O13" i="1" s="1"/>
  <c r="O15" i="1" l="1"/>
  <c r="O16" i="1"/>
  <c r="Q9" i="1"/>
  <c r="P12" i="1"/>
  <c r="P13" i="1" s="1"/>
  <c r="P15" i="1" l="1"/>
  <c r="P16" i="1"/>
  <c r="Q12" i="1"/>
  <c r="Q13" i="1" s="1"/>
  <c r="Q16" i="1" l="1"/>
  <c r="D26" i="1" s="1"/>
  <c r="Q15" i="1"/>
  <c r="H42" i="1" l="1"/>
  <c r="E42" i="1"/>
  <c r="I42" i="1"/>
  <c r="F42" i="1"/>
  <c r="G42" i="1"/>
  <c r="D28" i="1"/>
  <c r="D29" i="1" s="1"/>
  <c r="D40" i="1"/>
  <c r="E40" i="1" s="1"/>
  <c r="D41" i="1"/>
  <c r="G41" i="1" s="1"/>
  <c r="D43" i="1"/>
  <c r="I43" i="1" s="1"/>
  <c r="D44" i="1"/>
  <c r="H44" i="1" s="1"/>
  <c r="H43" i="1" l="1"/>
  <c r="F43" i="1"/>
  <c r="F44" i="1"/>
  <c r="F40" i="1"/>
  <c r="E41" i="1"/>
  <c r="H40" i="1"/>
  <c r="I41" i="1"/>
  <c r="G40" i="1"/>
  <c r="E44" i="1"/>
  <c r="G44" i="1"/>
  <c r="H41" i="1"/>
  <c r="I40" i="1"/>
  <c r="I44" i="1"/>
  <c r="F41" i="1"/>
  <c r="G43" i="1"/>
  <c r="E43" i="1"/>
</calcChain>
</file>

<file path=xl/sharedStrings.xml><?xml version="1.0" encoding="utf-8"?>
<sst xmlns="http://schemas.openxmlformats.org/spreadsheetml/2006/main" count="90" uniqueCount="37">
  <si>
    <t>Alle Angaben in Mrd.</t>
  </si>
  <si>
    <t>Umsatz</t>
  </si>
  <si>
    <t>Umsatzwachstum</t>
  </si>
  <si>
    <t>EBIT Marge</t>
  </si>
  <si>
    <t>EBIT</t>
  </si>
  <si>
    <t>Gewinn (abzgl. Steuern, Zinsen)</t>
  </si>
  <si>
    <t>Anzahl an Aktien</t>
  </si>
  <si>
    <t>Gewinn je Aktie</t>
  </si>
  <si>
    <t>-</t>
  </si>
  <si>
    <t>Fairer Wert</t>
  </si>
  <si>
    <t>Marktkapitalisierung</t>
  </si>
  <si>
    <t>Kurs je Aktie</t>
  </si>
  <si>
    <t>Abgezinster Gewinn</t>
  </si>
  <si>
    <t>Quellensteuer</t>
  </si>
  <si>
    <t>Über-/Unterbewertung</t>
  </si>
  <si>
    <t>Ermittlung der Renditeerwartung</t>
  </si>
  <si>
    <t>Durchschnittliches Kurs-Gewinn-Verhältnis</t>
  </si>
  <si>
    <t>Risikoloser Basiszins</t>
  </si>
  <si>
    <t>Marktrendite</t>
  </si>
  <si>
    <t>Beta-Faktor</t>
  </si>
  <si>
    <t>Eigenkapitalkosten</t>
  </si>
  <si>
    <t>Aktienanzahl (abzgl. Aktienrückkäufe)</t>
  </si>
  <si>
    <t>Ermittlung des fairen Wertes</t>
  </si>
  <si>
    <t>Erwartete Änderung der Aktienanzahl</t>
  </si>
  <si>
    <t>Erwartete Ausschüttungsquote</t>
  </si>
  <si>
    <t>Faktoren für die Renditeerwartung</t>
  </si>
  <si>
    <t>Ewige Rente</t>
  </si>
  <si>
    <t>Steuern &amp; Zinsen</t>
  </si>
  <si>
    <t>Entwicklung der Fundamentals</t>
  </si>
  <si>
    <t>Ermittlung der Eigenkapitalkosten</t>
  </si>
  <si>
    <t>Kurs-Gewinn-Verhältnis in zehn Jahren</t>
  </si>
  <si>
    <t>Aktueller Kurs</t>
  </si>
  <si>
    <t>Abweichung</t>
  </si>
  <si>
    <t>Discounted Earnings Modell (Optimistisch)</t>
  </si>
  <si>
    <t>Discounted Earnings Modell (Pessimistisch)</t>
  </si>
  <si>
    <t>Aktienspezifische Risikoprämie</t>
  </si>
  <si>
    <t>Annahmen für Stryker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</si>
</sst>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5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2" fontId="0" fillId="0" borderId="0" xfId="0" applyNumberFormat="1"/>
    <xf numFmtId="10" fontId="0" fillId="0" borderId="0" xfId="0" applyNumberFormat="1"/>
    <xf numFmtId="0" fontId="0" fillId="3" borderId="0" xfId="0" applyFill="1"/>
    <xf numFmtId="2" fontId="0" fillId="3" borderId="0" xfId="0" applyNumberFormat="1" applyFill="1"/>
    <xf numFmtId="10" fontId="0" fillId="3" borderId="0" xfId="0" applyNumberFormat="1" applyFill="1"/>
    <xf numFmtId="0" fontId="2" fillId="0" borderId="0" xfId="0" applyFont="1"/>
    <xf numFmtId="1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3" fillId="3" borderId="0" xfId="0" applyFont="1" applyFill="1"/>
    <xf numFmtId="0" fontId="3" fillId="0" borderId="0" xfId="0" applyFont="1"/>
    <xf numFmtId="9" fontId="3" fillId="3" borderId="0" xfId="0" applyNumberFormat="1" applyFont="1" applyFill="1"/>
    <xf numFmtId="9" fontId="0" fillId="0" borderId="0" xfId="0" applyNumberFormat="1"/>
    <xf numFmtId="0" fontId="3" fillId="4" borderId="0" xfId="0" applyFont="1" applyFill="1"/>
    <xf numFmtId="0" fontId="0" fillId="4" borderId="0" xfId="0" applyFill="1"/>
    <xf numFmtId="2" fontId="0" fillId="4" borderId="0" xfId="0" applyNumberFormat="1" applyFill="1"/>
    <xf numFmtId="0" fontId="0" fillId="4" borderId="0" xfId="0" applyFill="1" applyAlignment="1">
      <alignment horizontal="right"/>
    </xf>
    <xf numFmtId="10" fontId="0" fillId="4" borderId="0" xfId="0" applyNumberFormat="1" applyFill="1"/>
    <xf numFmtId="9" fontId="3" fillId="0" borderId="0" xfId="0" applyNumberFormat="1" applyFont="1"/>
    <xf numFmtId="10" fontId="3" fillId="0" borderId="0" xfId="0" applyNumberFormat="1" applyFont="1"/>
    <xf numFmtId="0" fontId="0" fillId="3" borderId="0" xfId="0" applyFill="1" applyAlignment="1">
      <alignment vertical="center"/>
    </xf>
    <xf numFmtId="2" fontId="3" fillId="3" borderId="0" xfId="0" applyNumberFormat="1" applyFont="1" applyFill="1"/>
    <xf numFmtId="0" fontId="0" fillId="3" borderId="0" xfId="0" applyFill="1" applyAlignment="1">
      <alignment horizontal="right"/>
    </xf>
    <xf numFmtId="10" fontId="0" fillId="3" borderId="1" xfId="0" applyNumberFormat="1" applyFill="1" applyBorder="1"/>
    <xf numFmtId="10" fontId="0" fillId="3" borderId="2" xfId="0" applyNumberFormat="1" applyFill="1" applyBorder="1"/>
    <xf numFmtId="10" fontId="0" fillId="3" borderId="3" xfId="0" applyNumberFormat="1" applyFill="1" applyBorder="1"/>
    <xf numFmtId="10" fontId="0" fillId="3" borderId="4" xfId="0" applyNumberFormat="1" applyFill="1" applyBorder="1"/>
    <xf numFmtId="10" fontId="0" fillId="3" borderId="5" xfId="0" applyNumberFormat="1" applyFill="1" applyBorder="1"/>
    <xf numFmtId="14" fontId="0" fillId="0" borderId="0" xfId="0" applyNumberFormat="1"/>
    <xf numFmtId="0" fontId="1" fillId="0" borderId="0" xfId="0" applyFont="1"/>
    <xf numFmtId="2" fontId="1" fillId="0" borderId="0" xfId="0" applyNumberFormat="1" applyFont="1"/>
    <xf numFmtId="164" fontId="1" fillId="2" borderId="0" xfId="0" applyNumberFormat="1" applyFont="1" applyFill="1"/>
    <xf numFmtId="0" fontId="0" fillId="3" borderId="0" xfId="0" applyFill="1" applyAlignment="1">
      <alignment horizontal="left"/>
    </xf>
    <xf numFmtId="10" fontId="0" fillId="0" borderId="0" xfId="1" applyNumberFormat="1" applyFont="1"/>
  </cellXfs>
  <cellStyles count="2">
    <cellStyle name="Prozent" xfId="1" builtinId="5"/>
    <cellStyle name="Standard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ED9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Design 2013–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8DC1-CC71-A848-BEC7-DC901284256A}">
  <dimension ref="A1:R59"/>
  <sheetViews>
    <sheetView showGridLines="0" showRowColHeaders="0" tabSelected="1" workbookViewId="0"/>
  </sheetViews>
  <sheetFormatPr baseColWidth="10" defaultColWidth="0" defaultRowHeight="16" zeroHeight="1" x14ac:dyDescent="0.2"/>
  <cols>
    <col min="1" max="1" width="31" bestFit="1" customWidth="1"/>
    <col min="2" max="2" width="35" customWidth="1"/>
    <col min="3" max="17" width="13.33203125" customWidth="1"/>
    <col min="18" max="18" width="13.33203125" hidden="1" customWidth="1"/>
    <col min="19" max="19" width="10.83203125" hidden="1" customWidth="1"/>
    <col min="20" max="16384" width="10.83203125" hidden="1"/>
  </cols>
  <sheetData>
    <row r="1" spans="1:18" x14ac:dyDescent="0.2"/>
    <row r="2" spans="1:18" ht="26" x14ac:dyDescent="0.3">
      <c r="B2" s="8" t="s">
        <v>33</v>
      </c>
    </row>
    <row r="3" spans="1:18" x14ac:dyDescent="0.2"/>
    <row r="4" spans="1:18" x14ac:dyDescent="0.2">
      <c r="B4" t="s">
        <v>36</v>
      </c>
    </row>
    <row r="5" spans="1:18" x14ac:dyDescent="0.2">
      <c r="Q5" s="30"/>
    </row>
    <row r="6" spans="1:18" x14ac:dyDescent="0.2">
      <c r="B6" t="s">
        <v>0</v>
      </c>
      <c r="Q6" s="31">
        <f>DATEDIF(C25,Q8,"m")</f>
        <v>107</v>
      </c>
    </row>
    <row r="7" spans="1:18" x14ac:dyDescent="0.2">
      <c r="Q7" s="32">
        <f>Q6/12</f>
        <v>8.9166666666666661</v>
      </c>
    </row>
    <row r="8" spans="1:18" x14ac:dyDescent="0.2">
      <c r="A8" s="2"/>
      <c r="B8" s="2"/>
      <c r="C8" s="33">
        <v>44196</v>
      </c>
      <c r="D8" s="33">
        <f>C8+365</f>
        <v>44561</v>
      </c>
      <c r="E8" s="33">
        <f t="shared" ref="E8:Q8" si="0">D8+365</f>
        <v>44926</v>
      </c>
      <c r="F8" s="33">
        <f t="shared" si="0"/>
        <v>45291</v>
      </c>
      <c r="G8" s="33">
        <f>F8+365</f>
        <v>45656</v>
      </c>
      <c r="H8" s="33">
        <f t="shared" si="0"/>
        <v>46021</v>
      </c>
      <c r="I8" s="33">
        <f t="shared" si="0"/>
        <v>46386</v>
      </c>
      <c r="J8" s="33">
        <f t="shared" si="0"/>
        <v>46751</v>
      </c>
      <c r="K8" s="33">
        <f>J8+365</f>
        <v>47116</v>
      </c>
      <c r="L8" s="33">
        <f t="shared" si="0"/>
        <v>47481</v>
      </c>
      <c r="M8" s="33">
        <f t="shared" si="0"/>
        <v>47846</v>
      </c>
      <c r="N8" s="33">
        <f t="shared" si="0"/>
        <v>48211</v>
      </c>
      <c r="O8" s="33">
        <f>N8+365</f>
        <v>48576</v>
      </c>
      <c r="P8" s="33">
        <f t="shared" si="0"/>
        <v>48941</v>
      </c>
      <c r="Q8" s="33">
        <f t="shared" si="0"/>
        <v>49306</v>
      </c>
    </row>
    <row r="9" spans="1:18" x14ac:dyDescent="0.2">
      <c r="A9" s="15" t="s">
        <v>28</v>
      </c>
      <c r="B9" s="16" t="s">
        <v>1</v>
      </c>
      <c r="C9" s="17">
        <v>14.351000000000001</v>
      </c>
      <c r="D9" s="17">
        <v>17.108000000000001</v>
      </c>
      <c r="E9" s="17">
        <v>18.449000000000002</v>
      </c>
      <c r="F9" s="17">
        <v>20.498000000000001</v>
      </c>
      <c r="G9" s="17">
        <v>22.594999999999999</v>
      </c>
      <c r="H9" s="6">
        <v>25.045999999999999</v>
      </c>
      <c r="I9" s="6">
        <v>27.19</v>
      </c>
      <c r="J9" s="6">
        <v>29.483000000000001</v>
      </c>
      <c r="K9" s="6">
        <f>J9*(1+K10)</f>
        <v>32.283884999999998</v>
      </c>
      <c r="L9" s="6">
        <f t="shared" ref="L9:P9" si="1">K9*(1+L10)</f>
        <v>35.835112350000003</v>
      </c>
      <c r="M9" s="6">
        <f t="shared" si="1"/>
        <v>39.418623585000006</v>
      </c>
      <c r="N9" s="6">
        <f t="shared" si="1"/>
        <v>43.557579061425002</v>
      </c>
      <c r="O9" s="6">
        <f t="shared" si="1"/>
        <v>47.695549072260377</v>
      </c>
      <c r="P9" s="6">
        <f t="shared" si="1"/>
        <v>51.988148488763812</v>
      </c>
      <c r="Q9" s="6">
        <f>P9*(1+Q10)</f>
        <v>56.407141110308736</v>
      </c>
      <c r="R9" s="1"/>
    </row>
    <row r="10" spans="1:18" x14ac:dyDescent="0.2">
      <c r="A10" s="16"/>
      <c r="B10" s="16" t="s">
        <v>2</v>
      </c>
      <c r="C10" s="18" t="s">
        <v>8</v>
      </c>
      <c r="D10" s="19">
        <f>D9/C9-1</f>
        <v>0.19211204794090997</v>
      </c>
      <c r="E10" s="19">
        <f t="shared" ref="E10:G10" si="2">E9/D9-1</f>
        <v>7.8384381575870909E-2</v>
      </c>
      <c r="F10" s="19">
        <f t="shared" si="2"/>
        <v>0.11106293024012137</v>
      </c>
      <c r="G10" s="19">
        <f t="shared" si="2"/>
        <v>0.1023026636745048</v>
      </c>
      <c r="H10" s="7">
        <f t="shared" ref="H10" si="3">H9/G9-1</f>
        <v>0.10847532639964608</v>
      </c>
      <c r="I10" s="7">
        <f t="shared" ref="I10" si="4">I9/H9-1</f>
        <v>8.5602491415795123E-2</v>
      </c>
      <c r="J10" s="7">
        <f t="shared" ref="J10" si="5">J9/I9-1</f>
        <v>8.4332475174696553E-2</v>
      </c>
      <c r="K10" s="7">
        <v>9.5000000000000001E-2</v>
      </c>
      <c r="L10" s="7">
        <v>0.11</v>
      </c>
      <c r="M10" s="7">
        <v>0.1</v>
      </c>
      <c r="N10" s="7">
        <v>0.105</v>
      </c>
      <c r="O10" s="7">
        <v>9.5000000000000001E-2</v>
      </c>
      <c r="P10" s="7">
        <v>0.09</v>
      </c>
      <c r="Q10" s="7">
        <v>8.5000000000000006E-2</v>
      </c>
      <c r="R10" s="3"/>
    </row>
    <row r="11" spans="1:18" x14ac:dyDescent="0.2">
      <c r="A11" s="16"/>
      <c r="B11" s="16" t="s">
        <v>3</v>
      </c>
      <c r="C11" s="19">
        <f>C12/C9</f>
        <v>0.15490209741481428</v>
      </c>
      <c r="D11" s="19">
        <f t="shared" ref="D11:J11" si="6">D12/D9</f>
        <v>0.15104044891278934</v>
      </c>
      <c r="E11" s="19">
        <f t="shared" si="6"/>
        <v>0.15399208629193994</v>
      </c>
      <c r="F11" s="19">
        <f t="shared" si="6"/>
        <v>0.18967704166260121</v>
      </c>
      <c r="G11" s="19">
        <f t="shared" si="6"/>
        <v>0.16326620933834921</v>
      </c>
      <c r="H11" s="7">
        <f t="shared" si="6"/>
        <v>0.18959999999999999</v>
      </c>
      <c r="I11" s="7">
        <f t="shared" si="6"/>
        <v>0.21390000000000001</v>
      </c>
      <c r="J11" s="7">
        <f t="shared" si="6"/>
        <v>0.22509999999999999</v>
      </c>
      <c r="K11" s="7">
        <v>0.24</v>
      </c>
      <c r="L11" s="7">
        <v>0.2475</v>
      </c>
      <c r="M11" s="7">
        <v>0.255</v>
      </c>
      <c r="N11" s="7">
        <v>0.26250000000000001</v>
      </c>
      <c r="O11" s="7">
        <v>0.27</v>
      </c>
      <c r="P11" s="7">
        <v>0.27500000000000002</v>
      </c>
      <c r="Q11" s="7">
        <v>0.28000000000000003</v>
      </c>
    </row>
    <row r="12" spans="1:18" x14ac:dyDescent="0.2">
      <c r="A12" s="16"/>
      <c r="B12" s="16" t="s">
        <v>4</v>
      </c>
      <c r="C12" s="17">
        <v>2.2229999999999999</v>
      </c>
      <c r="D12" s="17">
        <v>2.5840000000000001</v>
      </c>
      <c r="E12" s="17">
        <v>2.8410000000000002</v>
      </c>
      <c r="F12" s="17">
        <v>3.8879999999999999</v>
      </c>
      <c r="G12" s="17">
        <v>3.6890000000000001</v>
      </c>
      <c r="H12" s="6">
        <f>H9*0.1896</f>
        <v>4.7487215999999997</v>
      </c>
      <c r="I12" s="6">
        <f>I9*0.2139</f>
        <v>5.8159410000000005</v>
      </c>
      <c r="J12" s="6">
        <f>J9*0.2251</f>
        <v>6.6366233000000001</v>
      </c>
      <c r="K12" s="6">
        <f>K9*K11</f>
        <v>7.7481323999999994</v>
      </c>
      <c r="L12" s="6">
        <f t="shared" ref="L12:Q12" si="7">L9*L11</f>
        <v>8.8691903066250006</v>
      </c>
      <c r="M12" s="6">
        <f t="shared" si="7"/>
        <v>10.051749014175002</v>
      </c>
      <c r="N12" s="6">
        <f t="shared" si="7"/>
        <v>11.433864503624063</v>
      </c>
      <c r="O12" s="6">
        <f t="shared" si="7"/>
        <v>12.877798249510302</v>
      </c>
      <c r="P12" s="6">
        <f t="shared" si="7"/>
        <v>14.29674083441005</v>
      </c>
      <c r="Q12" s="6">
        <f t="shared" si="7"/>
        <v>15.793999510886447</v>
      </c>
      <c r="R12" s="4"/>
    </row>
    <row r="13" spans="1:18" x14ac:dyDescent="0.2">
      <c r="A13" s="16"/>
      <c r="B13" s="16" t="s">
        <v>5</v>
      </c>
      <c r="C13" s="17">
        <v>1.599</v>
      </c>
      <c r="D13" s="17">
        <v>1.994</v>
      </c>
      <c r="E13" s="17">
        <v>2.3580000000000001</v>
      </c>
      <c r="F13" s="17">
        <v>3.165</v>
      </c>
      <c r="G13" s="17">
        <v>2.9929999999999999</v>
      </c>
      <c r="H13" s="6">
        <v>3.8119999999999998</v>
      </c>
      <c r="I13" s="6">
        <v>4.54</v>
      </c>
      <c r="J13" s="6">
        <v>5.181</v>
      </c>
      <c r="K13" s="6">
        <f t="shared" ref="K13:Q13" si="8">K12*(1-$D$37)</f>
        <v>6.1985059199999997</v>
      </c>
      <c r="L13" s="6">
        <f t="shared" si="8"/>
        <v>7.0953522453000009</v>
      </c>
      <c r="M13" s="6">
        <f t="shared" si="8"/>
        <v>8.0413992113400017</v>
      </c>
      <c r="N13" s="6">
        <f t="shared" si="8"/>
        <v>9.1470916028992502</v>
      </c>
      <c r="O13" s="6">
        <f t="shared" si="8"/>
        <v>10.302238599608243</v>
      </c>
      <c r="P13" s="6">
        <f t="shared" si="8"/>
        <v>11.437392667528041</v>
      </c>
      <c r="Q13" s="6">
        <f t="shared" si="8"/>
        <v>12.635199608709158</v>
      </c>
      <c r="R13" s="3"/>
    </row>
    <row r="14" spans="1:18" hidden="1" x14ac:dyDescent="0.2">
      <c r="A14" s="4"/>
      <c r="B14" t="s">
        <v>21</v>
      </c>
      <c r="H14" s="6">
        <f>C27</f>
        <v>0.38241999999999998</v>
      </c>
      <c r="I14" s="6">
        <f t="shared" ref="I14:P14" si="9">H14*(1+$D$36)</f>
        <v>0.38050789999999995</v>
      </c>
      <c r="J14" s="6">
        <f t="shared" si="9"/>
        <v>0.37860536049999993</v>
      </c>
      <c r="K14" s="6">
        <f t="shared" si="9"/>
        <v>0.37671233369749996</v>
      </c>
      <c r="L14" s="6">
        <f t="shared" si="9"/>
        <v>0.37482877202901244</v>
      </c>
      <c r="M14" s="6">
        <f t="shared" si="9"/>
        <v>0.37295462816886737</v>
      </c>
      <c r="N14" s="6">
        <f t="shared" si="9"/>
        <v>0.37108985502802305</v>
      </c>
      <c r="O14" s="6">
        <f t="shared" si="9"/>
        <v>0.36923440575288291</v>
      </c>
      <c r="P14" s="6">
        <f t="shared" si="9"/>
        <v>0.3673882337241185</v>
      </c>
      <c r="Q14" s="6">
        <f>P14*(1+$D$36)</f>
        <v>0.3655512925554979</v>
      </c>
      <c r="R14" s="1"/>
    </row>
    <row r="15" spans="1:18" hidden="1" x14ac:dyDescent="0.2">
      <c r="B15" t="s">
        <v>7</v>
      </c>
      <c r="H15" s="6">
        <f>H13/H14</f>
        <v>9.9680979028293493</v>
      </c>
      <c r="I15" s="6">
        <f t="shared" ref="H15:Q15" si="10">I13/I14</f>
        <v>11.931421134751737</v>
      </c>
      <c r="J15" s="6">
        <f t="shared" si="10"/>
        <v>13.684433820899377</v>
      </c>
      <c r="K15" s="6">
        <f t="shared" si="10"/>
        <v>16.454215499557815</v>
      </c>
      <c r="L15" s="6">
        <f t="shared" si="10"/>
        <v>18.929582718241299</v>
      </c>
      <c r="M15" s="6">
        <f t="shared" si="10"/>
        <v>21.561333749420577</v>
      </c>
      <c r="N15" s="6">
        <f t="shared" si="10"/>
        <v>24.649263457252161</v>
      </c>
      <c r="O15" s="6">
        <f t="shared" si="10"/>
        <v>27.901621406601016</v>
      </c>
      <c r="P15" s="6">
        <f t="shared" si="10"/>
        <v>31.131624852516861</v>
      </c>
      <c r="Q15" s="6">
        <f t="shared" si="10"/>
        <v>34.56477891345682</v>
      </c>
      <c r="R15" s="1"/>
    </row>
    <row r="16" spans="1:18" hidden="1" x14ac:dyDescent="0.2">
      <c r="B16" t="s">
        <v>12</v>
      </c>
      <c r="H16" s="6">
        <f>H13/(1+$D$23)</f>
        <v>3.5211283867883791</v>
      </c>
      <c r="I16" s="6">
        <f>I13/(1+$D$23)^2</f>
        <v>3.8735912402707608</v>
      </c>
      <c r="J16" s="6">
        <f>J13/(1+$D$23)^3</f>
        <v>4.0831985452976944</v>
      </c>
      <c r="K16" s="6">
        <f>K13/(1+$D$23)^4</f>
        <v>4.5123512082413546</v>
      </c>
      <c r="L16" s="6">
        <f>L13/(1+$D$23)^5</f>
        <v>4.7711031224924785</v>
      </c>
      <c r="M16" s="6">
        <f>M13/(1+$D$23)^6</f>
        <v>4.9946543003733828</v>
      </c>
      <c r="N16" s="6">
        <f>N13/(1+$D$23)^7</f>
        <v>5.2479031104760701</v>
      </c>
      <c r="O16" s="6">
        <f>O13/(1+$D$23)^8</f>
        <v>5.459631771703747</v>
      </c>
      <c r="P16" s="6">
        <f>P13/(1+$D$23)^9</f>
        <v>5.5987071117758243</v>
      </c>
      <c r="Q16" s="6">
        <f>Q13/(1+$D$23)^10</f>
        <v>5.7130995659931161</v>
      </c>
      <c r="R16" s="3"/>
    </row>
    <row r="17" spans="1:18" x14ac:dyDescent="0.2">
      <c r="C17" s="35"/>
      <c r="D17" s="35"/>
      <c r="E17" s="35"/>
      <c r="F17" s="35"/>
      <c r="G17" s="35"/>
      <c r="H17" s="35"/>
      <c r="I17" s="35"/>
      <c r="J17" s="35"/>
      <c r="K17" s="3"/>
      <c r="L17" s="3"/>
      <c r="M17" s="3"/>
      <c r="N17" s="3"/>
      <c r="O17" s="3"/>
      <c r="P17" s="3"/>
      <c r="Q17" s="3"/>
      <c r="R17" s="3"/>
    </row>
    <row r="18" spans="1:18" x14ac:dyDescent="0.2">
      <c r="A18" s="2"/>
      <c r="B18" s="2"/>
      <c r="C18" s="2"/>
      <c r="D18" s="2"/>
    </row>
    <row r="19" spans="1:18" x14ac:dyDescent="0.2">
      <c r="A19" s="11" t="s">
        <v>29</v>
      </c>
      <c r="B19" s="34" t="s">
        <v>17</v>
      </c>
      <c r="C19" s="34"/>
      <c r="D19" s="7">
        <v>4.2750000000000003E-2</v>
      </c>
    </row>
    <row r="20" spans="1:18" x14ac:dyDescent="0.2">
      <c r="A20" s="5"/>
      <c r="B20" s="34" t="s">
        <v>18</v>
      </c>
      <c r="C20" s="34"/>
      <c r="D20" s="7">
        <v>0.08</v>
      </c>
    </row>
    <row r="21" spans="1:18" x14ac:dyDescent="0.2">
      <c r="A21" s="5"/>
      <c r="B21" s="34" t="s">
        <v>19</v>
      </c>
      <c r="C21" s="34"/>
      <c r="D21" s="6">
        <v>1.07</v>
      </c>
    </row>
    <row r="22" spans="1:18" x14ac:dyDescent="0.2">
      <c r="A22" s="5"/>
      <c r="B22" s="34" t="s">
        <v>35</v>
      </c>
      <c r="C22" s="34"/>
      <c r="D22" s="7">
        <f>(D20-D19)*D21</f>
        <v>3.9857500000000004E-2</v>
      </c>
    </row>
    <row r="23" spans="1:18" x14ac:dyDescent="0.2">
      <c r="A23" s="5"/>
      <c r="B23" s="34" t="s">
        <v>20</v>
      </c>
      <c r="C23" s="34"/>
      <c r="D23" s="7">
        <f>D19+(D20-D19)*D21</f>
        <v>8.26075E-2</v>
      </c>
    </row>
    <row r="24" spans="1:18" x14ac:dyDescent="0.2"/>
    <row r="25" spans="1:18" x14ac:dyDescent="0.2">
      <c r="A25" s="2"/>
      <c r="B25" s="2"/>
      <c r="C25" s="9">
        <v>46042</v>
      </c>
      <c r="D25" s="10" t="s">
        <v>9</v>
      </c>
    </row>
    <row r="26" spans="1:18" x14ac:dyDescent="0.2">
      <c r="A26" s="11" t="s">
        <v>22</v>
      </c>
      <c r="B26" s="5" t="s">
        <v>10</v>
      </c>
      <c r="C26" s="6">
        <f>C27*C28</f>
        <v>137.6712</v>
      </c>
      <c r="D26" s="6">
        <f>SUM(H16:Q16)+(Q13/(D23-D30))/(1+D23)^Q7</f>
        <v>155.85313999821577</v>
      </c>
      <c r="F26" s="12"/>
    </row>
    <row r="27" spans="1:18" x14ac:dyDescent="0.2">
      <c r="A27" s="5"/>
      <c r="B27" s="5" t="s">
        <v>6</v>
      </c>
      <c r="C27" s="6">
        <v>0.38241999999999998</v>
      </c>
      <c r="D27" s="6">
        <f>C27</f>
        <v>0.38241999999999998</v>
      </c>
    </row>
    <row r="28" spans="1:18" x14ac:dyDescent="0.2">
      <c r="A28" s="5"/>
      <c r="B28" s="5" t="s">
        <v>11</v>
      </c>
      <c r="C28" s="6">
        <v>360</v>
      </c>
      <c r="D28" s="6">
        <f>D26/D27</f>
        <v>407.5444275880335</v>
      </c>
    </row>
    <row r="29" spans="1:18" x14ac:dyDescent="0.2">
      <c r="A29" s="5"/>
      <c r="B29" s="5" t="s">
        <v>14</v>
      </c>
      <c r="C29" s="24" t="s">
        <v>8</v>
      </c>
      <c r="D29" s="7">
        <f>D28/C28-1</f>
        <v>0.13206785441120417</v>
      </c>
    </row>
    <row r="30" spans="1:18" x14ac:dyDescent="0.2">
      <c r="A30" s="5"/>
      <c r="B30" s="5" t="s">
        <v>26</v>
      </c>
      <c r="C30" s="24" t="s">
        <v>8</v>
      </c>
      <c r="D30" s="7">
        <v>2.5000000000000001E-2</v>
      </c>
    </row>
    <row r="31" spans="1:18" x14ac:dyDescent="0.2"/>
    <row r="32" spans="1:18" x14ac:dyDescent="0.2">
      <c r="A32" s="2"/>
      <c r="B32" s="2"/>
      <c r="C32" s="2"/>
      <c r="D32" s="2"/>
    </row>
    <row r="33" spans="1:18" x14ac:dyDescent="0.2">
      <c r="A33" s="11" t="s">
        <v>25</v>
      </c>
      <c r="B33" s="34" t="s">
        <v>16</v>
      </c>
      <c r="C33" s="34"/>
      <c r="D33" s="6">
        <v>25</v>
      </c>
    </row>
    <row r="34" spans="1:18" x14ac:dyDescent="0.2">
      <c r="A34" s="11"/>
      <c r="B34" s="34" t="s">
        <v>24</v>
      </c>
      <c r="C34" s="34"/>
      <c r="D34" s="7">
        <v>0.45</v>
      </c>
    </row>
    <row r="35" spans="1:18" x14ac:dyDescent="0.2">
      <c r="A35" s="5"/>
      <c r="B35" s="34" t="s">
        <v>13</v>
      </c>
      <c r="C35" s="34"/>
      <c r="D35" s="7">
        <v>0.15</v>
      </c>
    </row>
    <row r="36" spans="1:18" x14ac:dyDescent="0.2">
      <c r="A36" s="5"/>
      <c r="B36" s="34" t="s">
        <v>23</v>
      </c>
      <c r="C36" s="34"/>
      <c r="D36" s="7">
        <v>-5.0000000000000001E-3</v>
      </c>
    </row>
    <row r="37" spans="1:18" x14ac:dyDescent="0.2">
      <c r="A37" s="5"/>
      <c r="B37" s="34" t="s">
        <v>27</v>
      </c>
      <c r="C37" s="34"/>
      <c r="D37" s="7">
        <v>0.2</v>
      </c>
    </row>
    <row r="38" spans="1:18" x14ac:dyDescent="0.2"/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</row>
    <row r="40" spans="1:18" ht="16" customHeight="1" x14ac:dyDescent="0.2">
      <c r="A40" s="11" t="s">
        <v>15</v>
      </c>
      <c r="B40" s="22" t="s">
        <v>32</v>
      </c>
      <c r="C40" s="13">
        <v>0.2</v>
      </c>
      <c r="D40" s="23">
        <f>D$42*(1+C40)</f>
        <v>432</v>
      </c>
      <c r="E40" s="25">
        <f>(((E$45)*$Q$15+($D$34*SUM($H$15:$Q$15)*(1-$D$35)))/$D40)^(1/$Q$7)-1</f>
        <v>6.7263009920755623E-2</v>
      </c>
      <c r="F40" s="26">
        <f t="shared" ref="F40:H40" si="11">(((F$45)*$Q$15+($D$34*SUM($H$15:$Q$15)*(1-$D$35)))/$D40)^(1/$Q$7)-1</f>
        <v>8.0039547680858636E-2</v>
      </c>
      <c r="G40" s="26">
        <f t="shared" si="11"/>
        <v>9.172105914496087E-2</v>
      </c>
      <c r="H40" s="26">
        <f t="shared" si="11"/>
        <v>0.1024896626890246</v>
      </c>
      <c r="I40" s="26">
        <f>(((I$45)*$Q$15+($D$34*SUM($H$15:$Q$15)*(1-$D$35)))/$D40)^(1/$Q$7)-1</f>
        <v>0.11248486927189916</v>
      </c>
      <c r="J40" s="14"/>
      <c r="K40" s="20"/>
      <c r="L40" s="14"/>
      <c r="M40" s="14"/>
      <c r="N40" s="14"/>
      <c r="O40" s="14"/>
      <c r="P40" s="14"/>
      <c r="Q40" s="14"/>
      <c r="R40" s="14"/>
    </row>
    <row r="41" spans="1:18" x14ac:dyDescent="0.2">
      <c r="A41" s="5"/>
      <c r="B41" s="22" t="s">
        <v>32</v>
      </c>
      <c r="C41" s="13">
        <v>0.1</v>
      </c>
      <c r="D41" s="23">
        <f>D$42*(1+C41)</f>
        <v>396.00000000000006</v>
      </c>
      <c r="E41" s="27">
        <f t="shared" ref="E41:I44" si="12">(((E$45)*$Q$15+($D$34*SUM($H$15:$Q$15)*(1-$D$35)))/$D41)^(1/$Q$7)-1</f>
        <v>7.7728647117884853E-2</v>
      </c>
      <c r="F41" s="7">
        <f t="shared" si="12"/>
        <v>9.0630472279115581E-2</v>
      </c>
      <c r="G41" s="7">
        <f t="shared" si="12"/>
        <v>0.10242653325890516</v>
      </c>
      <c r="H41" s="7">
        <f t="shared" si="12"/>
        <v>0.11330073429558696</v>
      </c>
      <c r="I41" s="7">
        <f>(((I$45)*$Q$15+($D$34*SUM($H$15:$Q$15)*(1-$D$35)))/$D41)^(1/$Q$7)-1</f>
        <v>0.12339395439980949</v>
      </c>
      <c r="J41" s="4"/>
      <c r="K41" s="21"/>
      <c r="L41" s="4"/>
      <c r="M41" s="4"/>
      <c r="N41" s="4"/>
      <c r="O41" s="4"/>
      <c r="P41" s="4"/>
      <c r="Q41" s="4"/>
      <c r="R41" s="4"/>
    </row>
    <row r="42" spans="1:18" x14ac:dyDescent="0.2">
      <c r="A42" s="5"/>
      <c r="B42" s="22" t="s">
        <v>31</v>
      </c>
      <c r="C42" s="13">
        <v>0</v>
      </c>
      <c r="D42" s="23">
        <f>C28</f>
        <v>360</v>
      </c>
      <c r="E42" s="27">
        <f t="shared" si="12"/>
        <v>8.9310267797876097E-2</v>
      </c>
      <c r="F42" s="7">
        <f t="shared" si="12"/>
        <v>0.10235074014594425</v>
      </c>
      <c r="G42" s="7">
        <f t="shared" si="12"/>
        <v>0.11427356541297007</v>
      </c>
      <c r="H42" s="7">
        <f t="shared" si="12"/>
        <v>0.12526462413172412</v>
      </c>
      <c r="I42" s="7">
        <f t="shared" si="12"/>
        <v>0.13546630924427627</v>
      </c>
    </row>
    <row r="43" spans="1:18" x14ac:dyDescent="0.2">
      <c r="A43" s="11"/>
      <c r="B43" s="22" t="s">
        <v>32</v>
      </c>
      <c r="C43" s="13">
        <v>-0.1</v>
      </c>
      <c r="D43" s="23">
        <f>D$42*(1+C43)</f>
        <v>324</v>
      </c>
      <c r="E43" s="27">
        <f t="shared" si="12"/>
        <v>0.10225804805765493</v>
      </c>
      <c r="F43" s="7">
        <f t="shared" si="12"/>
        <v>0.11545352231421302</v>
      </c>
      <c r="G43" s="7">
        <f t="shared" si="12"/>
        <v>0.12751806489190498</v>
      </c>
      <c r="H43" s="7">
        <f t="shared" si="12"/>
        <v>0.13863976574019676</v>
      </c>
      <c r="I43" s="7">
        <f t="shared" si="12"/>
        <v>0.1489627103148341</v>
      </c>
    </row>
    <row r="44" spans="1:18" x14ac:dyDescent="0.2">
      <c r="A44" s="5"/>
      <c r="B44" s="22" t="s">
        <v>32</v>
      </c>
      <c r="C44" s="13">
        <v>-0.2</v>
      </c>
      <c r="D44" s="23">
        <f>D$42*(1+C44)</f>
        <v>288</v>
      </c>
      <c r="E44" s="28">
        <f t="shared" si="12"/>
        <v>0.11691470805689752</v>
      </c>
      <c r="F44" s="29">
        <f t="shared" si="12"/>
        <v>0.13028564175332824</v>
      </c>
      <c r="G44" s="29">
        <f t="shared" si="12"/>
        <v>0.14251060583932218</v>
      </c>
      <c r="H44" s="29">
        <f t="shared" si="12"/>
        <v>0.15378019128526699</v>
      </c>
      <c r="I44" s="29">
        <f t="shared" si="12"/>
        <v>0.16424039944268154</v>
      </c>
    </row>
    <row r="45" spans="1:18" x14ac:dyDescent="0.2">
      <c r="A45" s="5"/>
      <c r="B45" s="5" t="s">
        <v>30</v>
      </c>
      <c r="C45" s="24" t="s">
        <v>8</v>
      </c>
      <c r="D45" s="24" t="s">
        <v>8</v>
      </c>
      <c r="E45" s="23">
        <f>$G45*(1+E46)</f>
        <v>20</v>
      </c>
      <c r="F45" s="23">
        <f>$G45*(1+F46)</f>
        <v>22.5</v>
      </c>
      <c r="G45" s="23">
        <f>D33</f>
        <v>25</v>
      </c>
      <c r="H45" s="23">
        <f>$G45*(1+H46)</f>
        <v>27.500000000000004</v>
      </c>
      <c r="I45" s="23">
        <f>$G45*(1+I46)</f>
        <v>30</v>
      </c>
    </row>
    <row r="46" spans="1:18" x14ac:dyDescent="0.2">
      <c r="A46" s="5"/>
      <c r="B46" s="5" t="s">
        <v>32</v>
      </c>
      <c r="C46" s="24" t="s">
        <v>8</v>
      </c>
      <c r="D46" s="24" t="s">
        <v>8</v>
      </c>
      <c r="E46" s="13">
        <v>-0.2</v>
      </c>
      <c r="F46" s="13">
        <v>-0.1</v>
      </c>
      <c r="G46" s="13">
        <v>0</v>
      </c>
      <c r="H46" s="13">
        <v>0.1</v>
      </c>
      <c r="I46" s="13">
        <v>0.2</v>
      </c>
    </row>
    <row r="47" spans="1:18" x14ac:dyDescent="0.2">
      <c r="D47" s="3"/>
    </row>
    <row r="48" spans="1:18" x14ac:dyDescent="0.2"/>
    <row r="49" spans="4:4" x14ac:dyDescent="0.2">
      <c r="D49" s="4"/>
    </row>
    <row r="50" spans="4:4" x14ac:dyDescent="0.2"/>
    <row r="51" spans="4:4" x14ac:dyDescent="0.2">
      <c r="D51" s="3"/>
    </row>
    <row r="52" spans="4:4" x14ac:dyDescent="0.2"/>
    <row r="53" spans="4:4" x14ac:dyDescent="0.2">
      <c r="D53" s="4"/>
    </row>
    <row r="54" spans="4:4" x14ac:dyDescent="0.2"/>
    <row r="55" spans="4:4" x14ac:dyDescent="0.2">
      <c r="D55" s="3"/>
    </row>
    <row r="57" spans="4:4" hidden="1" x14ac:dyDescent="0.2">
      <c r="D57" s="4"/>
    </row>
    <row r="59" spans="4:4" hidden="1" x14ac:dyDescent="0.2">
      <c r="D59" s="4"/>
    </row>
  </sheetData>
  <mergeCells count="10">
    <mergeCell ref="B37:C37"/>
    <mergeCell ref="B20:C20"/>
    <mergeCell ref="B19:C19"/>
    <mergeCell ref="B36:C36"/>
    <mergeCell ref="B35:C35"/>
    <mergeCell ref="B34:C34"/>
    <mergeCell ref="B33:C33"/>
    <mergeCell ref="B22:C22"/>
    <mergeCell ref="B21:C21"/>
    <mergeCell ref="B23:C23"/>
  </mergeCells>
  <conditionalFormatting sqref="D29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R41"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E40:I4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0" verticalDpi="0"/>
  <ignoredErrors>
    <ignoredError sqref="D42 G45" formula="1"/>
    <ignoredError sqref="Q6:Q7" evalError="1"/>
  </ignoredErrors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9D32C-2D33-3546-8912-F2DC51651ED1}">
  <dimension ref="A1:R59"/>
  <sheetViews>
    <sheetView showGridLines="0" showRowColHeaders="0" workbookViewId="0"/>
  </sheetViews>
  <sheetFormatPr baseColWidth="10" defaultColWidth="0" defaultRowHeight="16" customHeight="1" zeroHeight="1" x14ac:dyDescent="0.2"/>
  <cols>
    <col min="1" max="1" width="31" bestFit="1" customWidth="1"/>
    <col min="2" max="2" width="35" customWidth="1"/>
    <col min="3" max="17" width="13.33203125" customWidth="1"/>
    <col min="18" max="18" width="13.33203125" hidden="1" customWidth="1"/>
    <col min="19" max="19" width="10.83203125" hidden="1" customWidth="1"/>
    <col min="20" max="16384" width="10.83203125" hidden="1"/>
  </cols>
  <sheetData>
    <row r="1" spans="1:18" x14ac:dyDescent="0.2"/>
    <row r="2" spans="1:18" ht="26" x14ac:dyDescent="0.3">
      <c r="B2" s="8" t="s">
        <v>34</v>
      </c>
    </row>
    <row r="3" spans="1:18" x14ac:dyDescent="0.2"/>
    <row r="4" spans="1:18" x14ac:dyDescent="0.2">
      <c r="B4" t="str">
        <f>Optimistisch!B4</f>
        <v>Annahmen für Stryker</v>
      </c>
    </row>
    <row r="5" spans="1:18" x14ac:dyDescent="0.2"/>
    <row r="6" spans="1:18" x14ac:dyDescent="0.2">
      <c r="B6" t="str">
        <f>Optimistisch!B6</f>
        <v>Alle Angaben in Mrd.</v>
      </c>
      <c r="Q6" s="31">
        <f>Optimistisch!Q6</f>
        <v>107</v>
      </c>
    </row>
    <row r="7" spans="1:18" x14ac:dyDescent="0.2">
      <c r="Q7" s="31">
        <f>Optimistisch!Q7</f>
        <v>8.9166666666666661</v>
      </c>
    </row>
    <row r="8" spans="1:18" x14ac:dyDescent="0.2">
      <c r="A8" s="2"/>
      <c r="B8" s="2"/>
      <c r="C8" s="33">
        <f>Optimistisch!C8</f>
        <v>44196</v>
      </c>
      <c r="D8" s="33">
        <f>Optimistisch!D8</f>
        <v>44561</v>
      </c>
      <c r="E8" s="33">
        <f>Optimistisch!E8</f>
        <v>44926</v>
      </c>
      <c r="F8" s="33">
        <f>Optimistisch!F8</f>
        <v>45291</v>
      </c>
      <c r="G8" s="33">
        <f>Optimistisch!G8</f>
        <v>45656</v>
      </c>
      <c r="H8" s="33">
        <f>Optimistisch!H8</f>
        <v>46021</v>
      </c>
      <c r="I8" s="33">
        <f>Optimistisch!I8</f>
        <v>46386</v>
      </c>
      <c r="J8" s="33">
        <f>Optimistisch!J8</f>
        <v>46751</v>
      </c>
      <c r="K8" s="33">
        <f>Optimistisch!K8</f>
        <v>47116</v>
      </c>
      <c r="L8" s="33">
        <f>Optimistisch!L8</f>
        <v>47481</v>
      </c>
      <c r="M8" s="33">
        <f>Optimistisch!M8</f>
        <v>47846</v>
      </c>
      <c r="N8" s="33">
        <f>Optimistisch!N8</f>
        <v>48211</v>
      </c>
      <c r="O8" s="33">
        <f>Optimistisch!O8</f>
        <v>48576</v>
      </c>
      <c r="P8" s="33">
        <f>Optimistisch!P8</f>
        <v>48941</v>
      </c>
      <c r="Q8" s="33">
        <f>Optimistisch!Q8</f>
        <v>49306</v>
      </c>
    </row>
    <row r="9" spans="1:18" x14ac:dyDescent="0.2">
      <c r="A9" s="15" t="s">
        <v>28</v>
      </c>
      <c r="B9" s="16" t="s">
        <v>1</v>
      </c>
      <c r="C9" s="17">
        <f>Optimistisch!C9</f>
        <v>14.351000000000001</v>
      </c>
      <c r="D9" s="17">
        <f>Optimistisch!D9</f>
        <v>17.108000000000001</v>
      </c>
      <c r="E9" s="17">
        <f>Optimistisch!E9</f>
        <v>18.449000000000002</v>
      </c>
      <c r="F9" s="17">
        <f>Optimistisch!F9</f>
        <v>20.498000000000001</v>
      </c>
      <c r="G9" s="17">
        <f>Optimistisch!G9</f>
        <v>22.594999999999999</v>
      </c>
      <c r="H9" s="6">
        <f>Optimistisch!H9</f>
        <v>25.045999999999999</v>
      </c>
      <c r="I9" s="6">
        <f>Optimistisch!I9</f>
        <v>27.19</v>
      </c>
      <c r="J9" s="6">
        <f>Optimistisch!J9</f>
        <v>29.483000000000001</v>
      </c>
      <c r="K9" s="6">
        <f>J9*(1+K10)</f>
        <v>31.546810000000001</v>
      </c>
      <c r="L9" s="6">
        <f t="shared" ref="L9:Q9" si="0">K9*(1+L10)</f>
        <v>33.597352649999998</v>
      </c>
      <c r="M9" s="6">
        <f t="shared" si="0"/>
        <v>36.117154098749999</v>
      </c>
      <c r="N9" s="6">
        <f t="shared" si="0"/>
        <v>38.46476911516875</v>
      </c>
      <c r="O9" s="6">
        <f t="shared" si="0"/>
        <v>40.772655262078878</v>
      </c>
      <c r="P9" s="6">
        <f t="shared" si="0"/>
        <v>43.015151301493212</v>
      </c>
      <c r="Q9" s="6">
        <f t="shared" si="0"/>
        <v>45.596060379582809</v>
      </c>
      <c r="R9" s="1"/>
    </row>
    <row r="10" spans="1:18" x14ac:dyDescent="0.2">
      <c r="A10" s="16"/>
      <c r="B10" s="16" t="s">
        <v>2</v>
      </c>
      <c r="C10" s="18" t="s">
        <v>8</v>
      </c>
      <c r="D10" s="19">
        <f>D9/C9-1</f>
        <v>0.19211204794090997</v>
      </c>
      <c r="E10" s="19">
        <f t="shared" ref="E10:J10" si="1">E9/D9-1</f>
        <v>7.8384381575870909E-2</v>
      </c>
      <c r="F10" s="19">
        <f t="shared" si="1"/>
        <v>0.11106293024012137</v>
      </c>
      <c r="G10" s="19">
        <f t="shared" si="1"/>
        <v>0.1023026636745048</v>
      </c>
      <c r="H10" s="7">
        <f t="shared" si="1"/>
        <v>0.10847532639964608</v>
      </c>
      <c r="I10" s="7">
        <f t="shared" si="1"/>
        <v>8.5602491415795123E-2</v>
      </c>
      <c r="J10" s="7">
        <f t="shared" si="1"/>
        <v>8.4332475174696553E-2</v>
      </c>
      <c r="K10" s="7">
        <v>7.0000000000000007E-2</v>
      </c>
      <c r="L10" s="7">
        <v>6.5000000000000002E-2</v>
      </c>
      <c r="M10" s="7">
        <v>7.4999999999999997E-2</v>
      </c>
      <c r="N10" s="7">
        <v>6.5000000000000002E-2</v>
      </c>
      <c r="O10" s="7">
        <v>0.06</v>
      </c>
      <c r="P10" s="7">
        <v>5.5E-2</v>
      </c>
      <c r="Q10" s="7">
        <v>0.06</v>
      </c>
      <c r="R10" s="3"/>
    </row>
    <row r="11" spans="1:18" x14ac:dyDescent="0.2">
      <c r="A11" s="16"/>
      <c r="B11" s="16" t="s">
        <v>3</v>
      </c>
      <c r="C11" s="19">
        <f>C12/C9</f>
        <v>0.15490209741481428</v>
      </c>
      <c r="D11" s="19">
        <f t="shared" ref="D11:J11" si="2">D12/D9</f>
        <v>0.15104044891278934</v>
      </c>
      <c r="E11" s="19">
        <f t="shared" si="2"/>
        <v>0.15399208629193994</v>
      </c>
      <c r="F11" s="19">
        <f t="shared" si="2"/>
        <v>0.18967704166260121</v>
      </c>
      <c r="G11" s="19">
        <f t="shared" si="2"/>
        <v>0.16326620933834921</v>
      </c>
      <c r="H11" s="7">
        <f t="shared" si="2"/>
        <v>0.18959999999999999</v>
      </c>
      <c r="I11" s="7">
        <f t="shared" si="2"/>
        <v>0.21390000000000001</v>
      </c>
      <c r="J11" s="7">
        <f t="shared" si="2"/>
        <v>0.22509999999999999</v>
      </c>
      <c r="K11" s="7">
        <v>0.22750000000000001</v>
      </c>
      <c r="L11" s="7">
        <v>0.23</v>
      </c>
      <c r="M11" s="7">
        <v>0.22500000000000001</v>
      </c>
      <c r="N11" s="7">
        <v>0.22</v>
      </c>
      <c r="O11" s="7">
        <v>0.22750000000000001</v>
      </c>
      <c r="P11" s="7">
        <v>0.23499999999999999</v>
      </c>
      <c r="Q11" s="7">
        <v>0.24</v>
      </c>
    </row>
    <row r="12" spans="1:18" x14ac:dyDescent="0.2">
      <c r="A12" s="16"/>
      <c r="B12" s="16" t="s">
        <v>4</v>
      </c>
      <c r="C12" s="17">
        <f>Optimistisch!C12</f>
        <v>2.2229999999999999</v>
      </c>
      <c r="D12" s="17">
        <f>Optimistisch!D12</f>
        <v>2.5840000000000001</v>
      </c>
      <c r="E12" s="17">
        <f>Optimistisch!E12</f>
        <v>2.8410000000000002</v>
      </c>
      <c r="F12" s="17">
        <f>Optimistisch!F12</f>
        <v>3.8879999999999999</v>
      </c>
      <c r="G12" s="17">
        <f>Optimistisch!G12</f>
        <v>3.6890000000000001</v>
      </c>
      <c r="H12" s="6">
        <f>Optimistisch!H12</f>
        <v>4.7487215999999997</v>
      </c>
      <c r="I12" s="6">
        <f>Optimistisch!I12</f>
        <v>5.8159410000000005</v>
      </c>
      <c r="J12" s="6">
        <f>Optimistisch!J12</f>
        <v>6.6366233000000001</v>
      </c>
      <c r="K12" s="6">
        <f>K9*K11</f>
        <v>7.1768992750000002</v>
      </c>
      <c r="L12" s="6">
        <f t="shared" ref="L12:Q12" si="3">L9*L11</f>
        <v>7.7273911095000001</v>
      </c>
      <c r="M12" s="6">
        <f t="shared" si="3"/>
        <v>8.1263596722187508</v>
      </c>
      <c r="N12" s="6">
        <f t="shared" si="3"/>
        <v>8.462249205337125</v>
      </c>
      <c r="O12" s="6">
        <f t="shared" si="3"/>
        <v>9.2757790721229458</v>
      </c>
      <c r="P12" s="6">
        <f t="shared" si="3"/>
        <v>10.108560555850904</v>
      </c>
      <c r="Q12" s="6">
        <f t="shared" si="3"/>
        <v>10.943054491099874</v>
      </c>
      <c r="R12" s="4"/>
    </row>
    <row r="13" spans="1:18" x14ac:dyDescent="0.2">
      <c r="A13" s="16"/>
      <c r="B13" s="16" t="s">
        <v>5</v>
      </c>
      <c r="C13" s="17">
        <f>Optimistisch!C13</f>
        <v>1.599</v>
      </c>
      <c r="D13" s="17">
        <f>Optimistisch!D13</f>
        <v>1.994</v>
      </c>
      <c r="E13" s="17">
        <f>Optimistisch!E13</f>
        <v>2.3580000000000001</v>
      </c>
      <c r="F13" s="17">
        <f>Optimistisch!F13</f>
        <v>3.165</v>
      </c>
      <c r="G13" s="17">
        <f>Optimistisch!G13</f>
        <v>2.9929999999999999</v>
      </c>
      <c r="H13" s="6">
        <f>Optimistisch!H13</f>
        <v>3.8119999999999998</v>
      </c>
      <c r="I13" s="6">
        <f>Optimistisch!I13</f>
        <v>4.54</v>
      </c>
      <c r="J13" s="6">
        <f>Optimistisch!J13</f>
        <v>5.181</v>
      </c>
      <c r="K13" s="6">
        <f t="shared" ref="K13:Q13" si="4">K12*(1-$D$37)</f>
        <v>5.3826744562500002</v>
      </c>
      <c r="L13" s="6">
        <f t="shared" si="4"/>
        <v>5.7955433321249998</v>
      </c>
      <c r="M13" s="6">
        <f t="shared" si="4"/>
        <v>6.0947697541640631</v>
      </c>
      <c r="N13" s="6">
        <f t="shared" si="4"/>
        <v>6.3466869040028442</v>
      </c>
      <c r="O13" s="6">
        <f t="shared" si="4"/>
        <v>6.9568343040922098</v>
      </c>
      <c r="P13" s="6">
        <f t="shared" si="4"/>
        <v>7.5814204168881778</v>
      </c>
      <c r="Q13" s="6">
        <f t="shared" si="4"/>
        <v>8.2072908683249057</v>
      </c>
      <c r="R13" s="3"/>
    </row>
    <row r="14" spans="1:18" hidden="1" x14ac:dyDescent="0.2">
      <c r="A14" s="4"/>
      <c r="B14" t="s">
        <v>21</v>
      </c>
      <c r="H14" s="6">
        <f>C27</f>
        <v>0.38241999999999998</v>
      </c>
      <c r="I14" s="6">
        <f t="shared" ref="I14:Q14" si="5">H14*(1+$D$36)</f>
        <v>0.38241999999999998</v>
      </c>
      <c r="J14" s="6">
        <f t="shared" si="5"/>
        <v>0.38241999999999998</v>
      </c>
      <c r="K14" s="6">
        <f t="shared" si="5"/>
        <v>0.38241999999999998</v>
      </c>
      <c r="L14" s="6">
        <f t="shared" si="5"/>
        <v>0.38241999999999998</v>
      </c>
      <c r="M14" s="6">
        <f t="shared" si="5"/>
        <v>0.38241999999999998</v>
      </c>
      <c r="N14" s="6">
        <f t="shared" si="5"/>
        <v>0.38241999999999998</v>
      </c>
      <c r="O14" s="6">
        <f t="shared" si="5"/>
        <v>0.38241999999999998</v>
      </c>
      <c r="P14" s="6">
        <f t="shared" si="5"/>
        <v>0.38241999999999998</v>
      </c>
      <c r="Q14" s="6">
        <f t="shared" si="5"/>
        <v>0.38241999999999998</v>
      </c>
      <c r="R14" s="1"/>
    </row>
    <row r="15" spans="1:18" hidden="1" x14ac:dyDescent="0.2">
      <c r="B15" t="s">
        <v>7</v>
      </c>
      <c r="H15" s="6">
        <f t="shared" ref="H15:Q15" si="6">H13/H14</f>
        <v>9.9680979028293493</v>
      </c>
      <c r="I15" s="6">
        <f t="shared" si="6"/>
        <v>11.871764029077978</v>
      </c>
      <c r="J15" s="6">
        <f t="shared" si="6"/>
        <v>13.547931593535903</v>
      </c>
      <c r="K15" s="6">
        <f t="shared" si="6"/>
        <v>14.075295372234716</v>
      </c>
      <c r="L15" s="6">
        <f t="shared" si="6"/>
        <v>15.154916929357775</v>
      </c>
      <c r="M15" s="6">
        <f t="shared" si="6"/>
        <v>15.937371879514835</v>
      </c>
      <c r="N15" s="6">
        <f t="shared" si="6"/>
        <v>16.596116583868113</v>
      </c>
      <c r="O15" s="6">
        <f t="shared" si="6"/>
        <v>18.191606882726347</v>
      </c>
      <c r="P15" s="6">
        <f t="shared" si="6"/>
        <v>19.824853346812873</v>
      </c>
      <c r="Q15" s="6">
        <f t="shared" si="6"/>
        <v>21.461458261400832</v>
      </c>
      <c r="R15" s="1"/>
    </row>
    <row r="16" spans="1:18" hidden="1" x14ac:dyDescent="0.2">
      <c r="B16" t="s">
        <v>12</v>
      </c>
      <c r="H16" s="6">
        <f>H13/(1+$D$23)</f>
        <v>3.5211283867883791</v>
      </c>
      <c r="I16" s="6">
        <f>I13/(1+$D$23)^2</f>
        <v>3.8735912402707608</v>
      </c>
      <c r="J16" s="6">
        <f>J13/(1+$D$23)^3</f>
        <v>4.0831985452976944</v>
      </c>
      <c r="K16" s="6">
        <f>K13/(1+$D$23)^4</f>
        <v>3.9184471064003703</v>
      </c>
      <c r="L16" s="6">
        <f>L13/(1+$D$23)^5</f>
        <v>3.8970771192872502</v>
      </c>
      <c r="M16" s="6">
        <f>M13/(1+$D$23)^6</f>
        <v>3.7855685512407851</v>
      </c>
      <c r="N16" s="6">
        <f>N13/(1+$D$23)^7</f>
        <v>3.6412446043699167</v>
      </c>
      <c r="O16" s="6">
        <f>O13/(1+$D$23)^8</f>
        <v>3.6867476160515893</v>
      </c>
      <c r="P16" s="6">
        <f>P13/(1+$D$23)^9</f>
        <v>3.7111738347414933</v>
      </c>
      <c r="Q16" s="6">
        <f>Q13/(1+$D$23)^10</f>
        <v>3.7109876654015586</v>
      </c>
      <c r="R16" s="3"/>
    </row>
    <row r="17" spans="1:18" x14ac:dyDescent="0.2"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">
      <c r="A18" s="2"/>
      <c r="B18" s="2"/>
      <c r="C18" s="2"/>
      <c r="D18" s="2"/>
    </row>
    <row r="19" spans="1:18" x14ac:dyDescent="0.2">
      <c r="A19" s="11" t="s">
        <v>29</v>
      </c>
      <c r="B19" s="34" t="s">
        <v>17</v>
      </c>
      <c r="C19" s="34"/>
      <c r="D19" s="7">
        <f>Optimistisch!D19</f>
        <v>4.2750000000000003E-2</v>
      </c>
    </row>
    <row r="20" spans="1:18" x14ac:dyDescent="0.2">
      <c r="A20" s="5"/>
      <c r="B20" s="34" t="s">
        <v>18</v>
      </c>
      <c r="C20" s="34"/>
      <c r="D20" s="7">
        <f>Optimistisch!D20</f>
        <v>0.08</v>
      </c>
    </row>
    <row r="21" spans="1:18" x14ac:dyDescent="0.2">
      <c r="A21" s="5"/>
      <c r="B21" s="34" t="s">
        <v>19</v>
      </c>
      <c r="C21" s="34"/>
      <c r="D21" s="6">
        <f>Optimistisch!D21</f>
        <v>1.07</v>
      </c>
    </row>
    <row r="22" spans="1:18" x14ac:dyDescent="0.2">
      <c r="A22" s="5"/>
      <c r="B22" s="34" t="s">
        <v>35</v>
      </c>
      <c r="C22" s="34"/>
      <c r="D22" s="7">
        <f>(D20-D19)*D21</f>
        <v>3.9857500000000004E-2</v>
      </c>
    </row>
    <row r="23" spans="1:18" x14ac:dyDescent="0.2">
      <c r="A23" s="5"/>
      <c r="B23" s="34" t="s">
        <v>20</v>
      </c>
      <c r="C23" s="34"/>
      <c r="D23" s="7">
        <f>D19+(D20-D19)*D21</f>
        <v>8.26075E-2</v>
      </c>
    </row>
    <row r="24" spans="1:18" x14ac:dyDescent="0.2"/>
    <row r="25" spans="1:18" x14ac:dyDescent="0.2">
      <c r="A25" s="2"/>
      <c r="B25" s="2"/>
      <c r="C25" s="9">
        <f>Optimistisch!C25</f>
        <v>46042</v>
      </c>
      <c r="D25" s="10" t="s">
        <v>9</v>
      </c>
    </row>
    <row r="26" spans="1:18" x14ac:dyDescent="0.2">
      <c r="A26" s="11" t="s">
        <v>22</v>
      </c>
      <c r="B26" s="5" t="s">
        <v>10</v>
      </c>
      <c r="C26" s="6">
        <f>C27*C28</f>
        <v>137.6712</v>
      </c>
      <c r="D26" s="6">
        <f>SUM(H16:Q16)+(Q13/(D23-D30))/(1+D23)^Q7</f>
        <v>97.648041089480657</v>
      </c>
      <c r="F26" s="12"/>
    </row>
    <row r="27" spans="1:18" x14ac:dyDescent="0.2">
      <c r="A27" s="5"/>
      <c r="B27" s="5" t="s">
        <v>6</v>
      </c>
      <c r="C27" s="6">
        <f>Optimistisch!C27</f>
        <v>0.38241999999999998</v>
      </c>
      <c r="D27" s="6">
        <f>C27</f>
        <v>0.38241999999999998</v>
      </c>
    </row>
    <row r="28" spans="1:18" x14ac:dyDescent="0.2">
      <c r="A28" s="5"/>
      <c r="B28" s="5" t="s">
        <v>11</v>
      </c>
      <c r="C28" s="6">
        <f>Optimistisch!C28</f>
        <v>360</v>
      </c>
      <c r="D28" s="6">
        <f>D26/D27</f>
        <v>255.34240125903631</v>
      </c>
    </row>
    <row r="29" spans="1:18" x14ac:dyDescent="0.2">
      <c r="A29" s="5"/>
      <c r="B29" s="5" t="s">
        <v>14</v>
      </c>
      <c r="C29" s="24" t="s">
        <v>8</v>
      </c>
      <c r="D29" s="7">
        <f>D28/C28-1</f>
        <v>-0.29071555205823252</v>
      </c>
    </row>
    <row r="30" spans="1:18" x14ac:dyDescent="0.2">
      <c r="A30" s="5"/>
      <c r="B30" s="5" t="s">
        <v>26</v>
      </c>
      <c r="C30" s="24" t="s">
        <v>8</v>
      </c>
      <c r="D30" s="7">
        <v>1.4999999999999999E-2</v>
      </c>
    </row>
    <row r="31" spans="1:18" x14ac:dyDescent="0.2"/>
    <row r="32" spans="1:18" x14ac:dyDescent="0.2">
      <c r="A32" s="2"/>
      <c r="B32" s="2"/>
      <c r="C32" s="2"/>
      <c r="D32" s="2"/>
    </row>
    <row r="33" spans="1:18" x14ac:dyDescent="0.2">
      <c r="A33" s="11" t="s">
        <v>25</v>
      </c>
      <c r="B33" s="34" t="s">
        <v>16</v>
      </c>
      <c r="C33" s="34"/>
      <c r="D33" s="6">
        <f>Optimistisch!D33</f>
        <v>25</v>
      </c>
    </row>
    <row r="34" spans="1:18" x14ac:dyDescent="0.2">
      <c r="A34" s="11"/>
      <c r="B34" s="34" t="s">
        <v>24</v>
      </c>
      <c r="C34" s="34"/>
      <c r="D34" s="7">
        <v>0.35</v>
      </c>
    </row>
    <row r="35" spans="1:18" x14ac:dyDescent="0.2">
      <c r="A35" s="5"/>
      <c r="B35" s="34" t="s">
        <v>13</v>
      </c>
      <c r="C35" s="34"/>
      <c r="D35" s="7">
        <f>Optimistisch!D35</f>
        <v>0.15</v>
      </c>
    </row>
    <row r="36" spans="1:18" x14ac:dyDescent="0.2">
      <c r="A36" s="5"/>
      <c r="B36" s="34" t="s">
        <v>23</v>
      </c>
      <c r="C36" s="34"/>
      <c r="D36" s="7">
        <v>0</v>
      </c>
    </row>
    <row r="37" spans="1:18" x14ac:dyDescent="0.2">
      <c r="A37" s="5"/>
      <c r="B37" s="34" t="s">
        <v>27</v>
      </c>
      <c r="C37" s="34"/>
      <c r="D37" s="7">
        <v>0.25</v>
      </c>
    </row>
    <row r="38" spans="1:18" x14ac:dyDescent="0.2"/>
    <row r="39" spans="1:18" x14ac:dyDescent="0.2">
      <c r="A39" s="2"/>
      <c r="B39" s="2"/>
      <c r="C39" s="2"/>
      <c r="D39" s="2"/>
      <c r="E39" s="2"/>
      <c r="F39" s="2"/>
      <c r="G39" s="2"/>
      <c r="H39" s="2"/>
      <c r="I39" s="2"/>
    </row>
    <row r="40" spans="1:18" x14ac:dyDescent="0.2">
      <c r="A40" s="11" t="s">
        <v>15</v>
      </c>
      <c r="B40" s="22" t="s">
        <v>32</v>
      </c>
      <c r="C40" s="13">
        <v>0.2</v>
      </c>
      <c r="D40" s="23">
        <f>D$42*(1+C40)</f>
        <v>432</v>
      </c>
      <c r="E40" s="27">
        <f>(((E$45)*$Q$15+($D$34*SUM($H$15:$Q$15)*(1-$D$35)))/$D40)^(1/$Q$7)-1</f>
        <v>1.0895661969451353E-2</v>
      </c>
      <c r="F40" s="7">
        <f t="shared" ref="F40:G40" si="7">(((F$45)*$Q$15+($D$34*SUM($H$15:$Q$15)*(1-$D$35)))/$D40)^(1/$Q$7)-1</f>
        <v>2.3081402833607045E-2</v>
      </c>
      <c r="G40" s="7">
        <f t="shared" si="7"/>
        <v>3.4216195603806066E-2</v>
      </c>
      <c r="H40" s="7">
        <f>(((H$45)*$Q$15+($D$34*SUM($H$15:$Q$15)*(1-$D$35)))/$D40)^(1/$Q$7)-1</f>
        <v>4.4475829427657709E-2</v>
      </c>
      <c r="I40" s="7">
        <f>(((I$45)*$Q$15+($D$34*SUM($H$15:$Q$15)*(1-$D$35)))/$D40)^(1/$Q$7)-1</f>
        <v>5.3994750034156658E-2</v>
      </c>
      <c r="J40" s="14"/>
      <c r="K40" s="20"/>
      <c r="L40" s="14"/>
      <c r="M40" s="14"/>
      <c r="N40" s="14"/>
      <c r="O40" s="14"/>
      <c r="P40" s="14"/>
      <c r="Q40" s="14"/>
      <c r="R40" s="14"/>
    </row>
    <row r="41" spans="1:18" x14ac:dyDescent="0.2">
      <c r="A41" s="5"/>
      <c r="B41" s="22" t="s">
        <v>32</v>
      </c>
      <c r="C41" s="13">
        <v>0.1</v>
      </c>
      <c r="D41" s="23">
        <f>D$42*(1+C41)</f>
        <v>396.00000000000006</v>
      </c>
      <c r="E41" s="27">
        <f t="shared" ref="E41:I44" si="8">(((E$45)*$Q$15+($D$34*SUM($H$15:$Q$15)*(1-$D$35)))/$D41)^(1/$Q$7)-1</f>
        <v>2.0808557988502674E-2</v>
      </c>
      <c r="F41" s="7">
        <f t="shared" si="8"/>
        <v>3.3113792868357361E-2</v>
      </c>
      <c r="G41" s="7">
        <f t="shared" si="8"/>
        <v>4.4357774001982042E-2</v>
      </c>
      <c r="H41" s="7">
        <f t="shared" si="8"/>
        <v>5.4718014334611542E-2</v>
      </c>
      <c r="I41" s="7">
        <f>(((I$45)*$Q$15+($D$34*SUM($H$15:$Q$15)*(1-$D$35)))/$D41)^(1/$Q$7)-1</f>
        <v>6.4330277977128647E-2</v>
      </c>
      <c r="J41" s="4"/>
      <c r="K41" s="21"/>
      <c r="L41" s="4"/>
      <c r="M41" s="4"/>
      <c r="N41" s="4"/>
      <c r="O41" s="4"/>
      <c r="P41" s="4"/>
      <c r="Q41" s="4"/>
      <c r="R41" s="4"/>
    </row>
    <row r="42" spans="1:18" x14ac:dyDescent="0.2">
      <c r="A42" s="5"/>
      <c r="B42" s="22" t="s">
        <v>31</v>
      </c>
      <c r="C42" s="13">
        <v>0</v>
      </c>
      <c r="D42" s="23">
        <f>C28</f>
        <v>360</v>
      </c>
      <c r="E42" s="27">
        <f t="shared" si="8"/>
        <v>3.1778496977438619E-2</v>
      </c>
      <c r="F42" s="7">
        <f t="shared" si="8"/>
        <v>4.4215967891974017E-2</v>
      </c>
      <c r="G42" s="7">
        <f t="shared" si="8"/>
        <v>5.5580780484213888E-2</v>
      </c>
      <c r="H42" s="7">
        <f t="shared" si="8"/>
        <v>6.605235531092668E-2</v>
      </c>
      <c r="I42" s="7">
        <f t="shared" si="8"/>
        <v>7.5767915448049949E-2</v>
      </c>
    </row>
    <row r="43" spans="1:18" x14ac:dyDescent="0.2">
      <c r="A43" s="11"/>
      <c r="B43" s="22" t="s">
        <v>32</v>
      </c>
      <c r="C43" s="13">
        <v>-0.1</v>
      </c>
      <c r="D43" s="23">
        <f>D$42*(1+C43)</f>
        <v>324</v>
      </c>
      <c r="E43" s="27">
        <f t="shared" si="8"/>
        <v>4.40424420172989E-2</v>
      </c>
      <c r="F43" s="7">
        <f t="shared" si="8"/>
        <v>5.6627747433306785E-2</v>
      </c>
      <c r="G43" s="7">
        <f t="shared" si="8"/>
        <v>6.8127644675428423E-2</v>
      </c>
      <c r="H43" s="7">
        <f>(((H$45)*$Q$15+($D$34*SUM($H$15:$Q$15)*(1-$D$35)))/$D43)^(1/$Q$7)-1</f>
        <v>7.8723686932439252E-2</v>
      </c>
      <c r="I43" s="7">
        <f t="shared" si="8"/>
        <v>8.8554728343791522E-2</v>
      </c>
    </row>
    <row r="44" spans="1:18" x14ac:dyDescent="0.2">
      <c r="A44" s="5"/>
      <c r="B44" s="22" t="s">
        <v>32</v>
      </c>
      <c r="C44" s="13">
        <v>-0.2</v>
      </c>
      <c r="D44" s="23">
        <f>D$42*(1+C44)</f>
        <v>288</v>
      </c>
      <c r="E44" s="28">
        <f t="shared" si="8"/>
        <v>5.7925012550026134E-2</v>
      </c>
      <c r="F44" s="29">
        <f t="shared" si="8"/>
        <v>7.0677664026962406E-2</v>
      </c>
      <c r="G44" s="29">
        <f t="shared" si="8"/>
        <v>8.2330474721792113E-2</v>
      </c>
      <c r="H44" s="29">
        <f t="shared" si="8"/>
        <v>9.3067411925292554E-2</v>
      </c>
      <c r="I44" s="29">
        <f t="shared" si="8"/>
        <v>0.10302917611218598</v>
      </c>
    </row>
    <row r="45" spans="1:18" x14ac:dyDescent="0.2">
      <c r="A45" s="5"/>
      <c r="B45" s="5" t="s">
        <v>30</v>
      </c>
      <c r="C45" s="24" t="s">
        <v>8</v>
      </c>
      <c r="D45" s="24" t="s">
        <v>8</v>
      </c>
      <c r="E45" s="23">
        <f>$G45*(1+E46)</f>
        <v>20</v>
      </c>
      <c r="F45" s="23">
        <f>$G45*(1+F46)</f>
        <v>22.5</v>
      </c>
      <c r="G45" s="23">
        <f>D33</f>
        <v>25</v>
      </c>
      <c r="H45" s="23">
        <f>$G45*(1+H46)</f>
        <v>27.500000000000004</v>
      </c>
      <c r="I45" s="23">
        <f>$G45*(1+I46)</f>
        <v>30</v>
      </c>
    </row>
    <row r="46" spans="1:18" x14ac:dyDescent="0.2">
      <c r="A46" s="5"/>
      <c r="B46" s="5" t="s">
        <v>32</v>
      </c>
      <c r="C46" s="24" t="s">
        <v>8</v>
      </c>
      <c r="D46" s="24" t="s">
        <v>8</v>
      </c>
      <c r="E46" s="13">
        <v>-0.2</v>
      </c>
      <c r="F46" s="13">
        <v>-0.1</v>
      </c>
      <c r="G46" s="13">
        <v>0</v>
      </c>
      <c r="H46" s="13">
        <v>0.1</v>
      </c>
      <c r="I46" s="13">
        <v>0.2</v>
      </c>
    </row>
    <row r="47" spans="1:18" x14ac:dyDescent="0.2">
      <c r="D47" s="3"/>
    </row>
    <row r="48" spans="1:18" x14ac:dyDescent="0.2"/>
    <row r="49" spans="4:4" x14ac:dyDescent="0.2">
      <c r="D49" s="4"/>
    </row>
    <row r="50" spans="4:4" x14ac:dyDescent="0.2"/>
    <row r="51" spans="4:4" x14ac:dyDescent="0.2">
      <c r="D51" s="3"/>
    </row>
    <row r="52" spans="4:4" x14ac:dyDescent="0.2"/>
    <row r="53" spans="4:4" x14ac:dyDescent="0.2">
      <c r="D53" s="4"/>
    </row>
    <row r="54" spans="4:4" ht="16" customHeight="1" x14ac:dyDescent="0.2"/>
    <row r="55" spans="4:4" x14ac:dyDescent="0.2">
      <c r="D55" s="3"/>
    </row>
    <row r="57" spans="4:4" hidden="1" x14ac:dyDescent="0.2">
      <c r="D57" s="4"/>
    </row>
    <row r="59" spans="4:4" hidden="1" x14ac:dyDescent="0.2">
      <c r="D59" s="4"/>
    </row>
  </sheetData>
  <mergeCells count="10">
    <mergeCell ref="B33:C33"/>
    <mergeCell ref="B34:C34"/>
    <mergeCell ref="B35:C35"/>
    <mergeCell ref="B36:C36"/>
    <mergeCell ref="B37:C37"/>
    <mergeCell ref="B19:C19"/>
    <mergeCell ref="B20:C20"/>
    <mergeCell ref="B21:C21"/>
    <mergeCell ref="B22:C22"/>
    <mergeCell ref="B23:C23"/>
  </mergeCells>
  <conditionalFormatting sqref="D29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R41">
    <cfRule type="cellIs" dxfId="1" priority="5" operator="lessThan">
      <formula>0</formula>
    </cfRule>
    <cfRule type="cellIs" dxfId="0" priority="6" operator="greaterThan">
      <formula>0</formula>
    </cfRule>
  </conditionalFormatting>
  <conditionalFormatting sqref="E40:I44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8740157499999996" bottom="0.78740157499999996" header="0.3" footer="0.3"/>
  <pageSetup paperSize="9" orientation="portrait" horizontalDpi="0" verticalDpi="0"/>
  <ignoredErrors>
    <ignoredError sqref="D42 G45" formula="1"/>
    <ignoredError sqref="Q6:Q7" evalError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Optimistisch</vt:lpstr>
      <vt:lpstr>Pessimistisch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Tilman Reichel</dc:creator>
  <cp:lastModifiedBy>Tilman Reichel</cp:lastModifiedBy>
  <dcterms:created xsi:type="dcterms:W3CDTF">2023-11-01T21:06:40Z</dcterms:created>
  <dcterms:modified xsi:type="dcterms:W3CDTF">2026-01-20T22:41:16Z</dcterms:modified>
</cp:coreProperties>
</file>